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13_ncr:1_{B0281968-E434-41D3-8434-9D92F3C287D0}" xr6:coauthVersionLast="47" xr6:coauthVersionMax="47" xr10:uidLastSave="{00000000-0000-0000-0000-000000000000}"/>
  <bookViews>
    <workbookView xWindow="-120" yWindow="-120" windowWidth="19440" windowHeight="15000" firstSheet="1" activeTab="7" xr2:uid="{D36CF042-AEED-4A4E-B324-2B7FEC02EE20}"/>
  </bookViews>
  <sheets>
    <sheet name="CHECK DM 17-3-2020" sheetId="1" r:id="rId1"/>
    <sheet name="2018" sheetId="2" r:id="rId2"/>
    <sheet name="2020" sheetId="4" r:id="rId3"/>
    <sheet name="2021" sheetId="5" r:id="rId4"/>
    <sheet name="2022" sheetId="8" r:id="rId5"/>
    <sheet name="2023" sheetId="6" r:id="rId6"/>
    <sheet name="2024" sheetId="9" r:id="rId7"/>
    <sheet name="CHECK 557 296-06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9" l="1"/>
  <c r="G6" i="9"/>
  <c r="G8" i="9"/>
  <c r="G10" i="9"/>
  <c r="G11" i="9"/>
  <c r="C13" i="9"/>
  <c r="G13" i="9" s="1"/>
  <c r="C10" i="9"/>
  <c r="C9" i="9"/>
  <c r="G9" i="9" s="1"/>
  <c r="C8" i="9"/>
  <c r="C7" i="9"/>
  <c r="G7" i="9" s="1"/>
  <c r="C6" i="9"/>
  <c r="C5" i="9"/>
  <c r="G5" i="9" s="1"/>
  <c r="C4" i="9"/>
  <c r="C3" i="9"/>
  <c r="G3" i="9" s="1"/>
  <c r="C11" i="9"/>
  <c r="C14" i="6"/>
  <c r="D13" i="6"/>
  <c r="D14" i="6" s="1"/>
  <c r="C13" i="6"/>
  <c r="D18" i="6"/>
  <c r="D11" i="6"/>
  <c r="D10" i="6"/>
  <c r="D16" i="6"/>
  <c r="D12" i="6"/>
  <c r="D17" i="6"/>
  <c r="C17" i="6" l="1"/>
  <c r="E17" i="6" s="1"/>
  <c r="E16" i="6"/>
  <c r="E18" i="6"/>
  <c r="E19" i="6"/>
  <c r="E10" i="6"/>
  <c r="E11" i="6"/>
  <c r="E12" i="6"/>
  <c r="E13" i="6"/>
  <c r="E14" i="6"/>
  <c r="D15" i="6"/>
  <c r="E15" i="6" s="1"/>
  <c r="C15" i="6"/>
  <c r="D3" i="6"/>
  <c r="D2" i="6"/>
  <c r="B6" i="1"/>
  <c r="E13" i="9"/>
  <c r="D13" i="9"/>
  <c r="D11" i="9"/>
  <c r="C12" i="9"/>
  <c r="D10" i="9"/>
  <c r="F10" i="9" s="1"/>
  <c r="D9" i="9"/>
  <c r="F9" i="9" s="1"/>
  <c r="D8" i="9"/>
  <c r="F8" i="9" s="1"/>
  <c r="D7" i="9"/>
  <c r="F7" i="9" s="1"/>
  <c r="E6" i="9"/>
  <c r="D6" i="9"/>
  <c r="F6" i="9" s="1"/>
  <c r="D5" i="9"/>
  <c r="F5" i="9" s="1"/>
  <c r="D4" i="9"/>
  <c r="F4" i="9" s="1"/>
  <c r="D3" i="9"/>
  <c r="D16" i="8"/>
  <c r="E16" i="8" s="1"/>
  <c r="D21" i="8"/>
  <c r="E21" i="8" s="1"/>
  <c r="D12" i="8"/>
  <c r="E12" i="8" s="1"/>
  <c r="D15" i="8"/>
  <c r="E15" i="8" s="1"/>
  <c r="D11" i="8"/>
  <c r="E11" i="8" s="1"/>
  <c r="D22" i="8"/>
  <c r="E22" i="8" s="1"/>
  <c r="D19" i="8"/>
  <c r="E19" i="8" s="1"/>
  <c r="D13" i="8"/>
  <c r="E13" i="8" s="1"/>
  <c r="D20" i="8"/>
  <c r="C20" i="8"/>
  <c r="C23" i="8" s="1"/>
  <c r="D18" i="8"/>
  <c r="D14" i="8"/>
  <c r="E14" i="8" s="1"/>
  <c r="E18" i="8"/>
  <c r="D17" i="8"/>
  <c r="E17" i="8" s="1"/>
  <c r="D10" i="8"/>
  <c r="E10" i="8" s="1"/>
  <c r="D12" i="2"/>
  <c r="E12" i="2" s="1"/>
  <c r="D11" i="2"/>
  <c r="C11" i="2"/>
  <c r="D10" i="2"/>
  <c r="E10" i="2" s="1"/>
  <c r="D9" i="2"/>
  <c r="D8" i="2"/>
  <c r="E8" i="2" s="1"/>
  <c r="D7" i="2"/>
  <c r="E7" i="2" s="1"/>
  <c r="D6" i="2"/>
  <c r="E6" i="2" s="1"/>
  <c r="D5" i="2"/>
  <c r="E5" i="2" s="1"/>
  <c r="D4" i="2"/>
  <c r="C4" i="2"/>
  <c r="C14" i="2" s="1"/>
  <c r="D3" i="2"/>
  <c r="E3" i="2" s="1"/>
  <c r="E13" i="2"/>
  <c r="E11" i="2"/>
  <c r="E9" i="2"/>
  <c r="F12" i="9" l="1"/>
  <c r="G12" i="9"/>
  <c r="G14" i="9" s="1"/>
  <c r="D5" i="6"/>
  <c r="B4" i="1" s="1"/>
  <c r="E10" i="9"/>
  <c r="E4" i="9"/>
  <c r="F13" i="9"/>
  <c r="F11" i="9"/>
  <c r="D14" i="9"/>
  <c r="C14" i="9"/>
  <c r="E8" i="9"/>
  <c r="E3" i="9"/>
  <c r="F3" i="9" s="1"/>
  <c r="E5" i="9"/>
  <c r="E7" i="9"/>
  <c r="E9" i="9"/>
  <c r="E11" i="9"/>
  <c r="D23" i="8"/>
  <c r="E20" i="8"/>
  <c r="E23" i="8" s="1"/>
  <c r="D14" i="2"/>
  <c r="F14" i="9" l="1"/>
  <c r="B2" i="7" s="1"/>
  <c r="B14" i="1"/>
  <c r="E14" i="9"/>
  <c r="E4" i="2"/>
  <c r="E5" i="5"/>
  <c r="B2" i="1" s="1"/>
  <c r="B1" i="7"/>
  <c r="E5" i="8"/>
  <c r="B3" i="1" s="1"/>
  <c r="E5" i="4"/>
  <c r="B3" i="7" l="1"/>
  <c r="E14" i="2"/>
  <c r="B11" i="1" s="1"/>
  <c r="C20" i="6"/>
  <c r="B5" i="1"/>
  <c r="B9" i="1"/>
  <c r="D20" i="6" l="1"/>
  <c r="B13" i="1"/>
  <c r="B15" i="1" s="1"/>
  <c r="E20" i="6"/>
  <c r="B7" i="1"/>
  <c r="B1" i="1" l="1"/>
  <c r="F23" i="6"/>
  <c r="B8" i="1"/>
  <c r="B10" i="1" s="1"/>
</calcChain>
</file>

<file path=xl/sharedStrings.xml><?xml version="1.0" encoding="utf-8"?>
<sst xmlns="http://schemas.openxmlformats.org/spreadsheetml/2006/main" count="151" uniqueCount="47">
  <si>
    <t>ENTRATE CORRENTI 2021</t>
  </si>
  <si>
    <t>ENTRATE CORRENTI 2020</t>
  </si>
  <si>
    <t>D= B-C</t>
  </si>
  <si>
    <t>E=A/D</t>
  </si>
  <si>
    <t>VALORE SOGLIA ART 4, TAB.1, LETTERA A DECRETO 17-03-2020</t>
  </si>
  <si>
    <t>RISPETTO VALORE SOGLIA ART 4, TAB.1, LETTERA A DECRETO 17-03-2020</t>
  </si>
  <si>
    <t>SPESA DEL PERSONALE ESERCIZIO 2018</t>
  </si>
  <si>
    <t>DIPENDENTE</t>
  </si>
  <si>
    <t>TOTALE</t>
  </si>
  <si>
    <t>COMPETENZE</t>
  </si>
  <si>
    <t xml:space="preserve">Media 2011-2013 </t>
  </si>
  <si>
    <t xml:space="preserve">VERIFICA RISPETTO LIMITE ART dell’art 1 comma 557 quater della legge 296/06 </t>
  </si>
  <si>
    <t>CATEGORIA</t>
  </si>
  <si>
    <t>B3</t>
  </si>
  <si>
    <t>C1</t>
  </si>
  <si>
    <t>D1</t>
  </si>
  <si>
    <t>D3</t>
  </si>
  <si>
    <t>SEGRETARIO</t>
  </si>
  <si>
    <t>C3</t>
  </si>
  <si>
    <t>TITOLO I</t>
  </si>
  <si>
    <t>TITOLO 2</t>
  </si>
  <si>
    <t>TITOLO 3</t>
  </si>
  <si>
    <t>ENTRATE CORRENTI 2022</t>
  </si>
  <si>
    <t>% DI INCREMENTO SPESA DEL PERSONALE 2018 PER L'ANNO 2024</t>
  </si>
  <si>
    <t>SPESA DEL PERSONALE MASSIMA PER L'ANNO 2024</t>
  </si>
  <si>
    <t>SPESA DEL PERSONALE PREVISTA PER L'ANNO 2024</t>
  </si>
  <si>
    <t>RISPETTO LIMITE SPESA PERSONALE 2024</t>
  </si>
  <si>
    <t>SPESA DEL PERSONALE PREVISTA PER L'ESERCIZIO 2024</t>
  </si>
  <si>
    <t>ONERI RIFLESSI C/ENTE CPDEL (23,8%)</t>
  </si>
  <si>
    <t>ONERI RIFLESSI C/ENTE TFR (2,88%)</t>
  </si>
  <si>
    <t>SOMMINISTRAZIONE LAVORO</t>
  </si>
  <si>
    <t>D6</t>
  </si>
  <si>
    <t>ONERI RIFLESSI C/ENTE (al netto irap)</t>
  </si>
  <si>
    <t>557 FUORI ORARIO</t>
  </si>
  <si>
    <t>B7</t>
  </si>
  <si>
    <t>C2</t>
  </si>
  <si>
    <t>B2</t>
  </si>
  <si>
    <t>SPESA DEL PERSONALE  PER L'ESERCIZIO 2022</t>
  </si>
  <si>
    <t>SPESA DEL PERSONALE  PER L'ESERCIZIO 2018</t>
  </si>
  <si>
    <t>ENTRATE CORRENTI 2023</t>
  </si>
  <si>
    <t xml:space="preserve">Fondo Crediti di Dubbia Esigibilità risultante dal bilancio preventivo assestato anno 2023 (C) </t>
  </si>
  <si>
    <t>MEDIA ENTRATE CORRENTI 2021-2023 (B)</t>
  </si>
  <si>
    <t>SPESA DEL PERSONALE ESERCIZIO 2023 (A)</t>
  </si>
  <si>
    <t>SPESA DEL PERSONALE ESERCIZIO 2023</t>
  </si>
  <si>
    <t>SPESE DI PERSONALE PREVISTE 2024+irap c/ente</t>
  </si>
  <si>
    <t>ONERI irap C/ENTE (8,5%)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</si>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</sst>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10" fontId="1" fillId="8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44" fontId="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9" fontId="1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wrapText="1"/>
    </xf>
    <xf numFmtId="44" fontId="1" fillId="11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wrapText="1"/>
    </xf>
    <xf numFmtId="44" fontId="1" fillId="12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wrapText="1"/>
    </xf>
    <xf numFmtId="44" fontId="1" fillId="1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1" fillId="0" borderId="1" xfId="0" applyNumberFormat="1" applyFont="1" applyBorder="1"/>
    <xf numFmtId="44" fontId="1" fillId="2" borderId="1" xfId="0" applyNumberFormat="1" applyFont="1" applyFill="1" applyBorder="1"/>
    <xf numFmtId="44" fontId="1" fillId="3" borderId="1" xfId="0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0" xfId="0" applyNumberFormat="1" applyFill="1"/>
    <xf numFmtId="44" fontId="0" fillId="3" borderId="1" xfId="0" applyNumberFormat="1" applyFill="1" applyBorder="1" applyAlignment="1">
      <alignment horizontal="center" vertical="center" wrapText="1"/>
    </xf>
    <xf numFmtId="4" fontId="0" fillId="3" borderId="0" xfId="0" applyNumberFormat="1" applyFill="1"/>
    <xf numFmtId="4" fontId="0" fillId="3" borderId="1" xfId="0" applyNumberFormat="1" applyFill="1" applyBorder="1"/>
    <xf numFmtId="44" fontId="0" fillId="3" borderId="1" xfId="0" applyNumberFormat="1" applyFill="1" applyBorder="1"/>
    <xf numFmtId="4" fontId="0" fillId="0" borderId="0" xfId="0" applyNumberFormat="1"/>
    <xf numFmtId="44" fontId="0" fillId="3" borderId="0" xfId="0" applyNumberFormat="1" applyFill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895D-15E1-4B21-8642-F02FC092F108}">
  <dimension ref="A1:B15"/>
  <sheetViews>
    <sheetView workbookViewId="0">
      <selection activeCell="C8" sqref="C8"/>
    </sheetView>
  </sheetViews>
  <sheetFormatPr defaultRowHeight="15" x14ac:dyDescent="0.25"/>
  <cols>
    <col min="1" max="1" width="43.140625" customWidth="1"/>
    <col min="2" max="2" width="19" customWidth="1"/>
  </cols>
  <sheetData>
    <row r="1" spans="1:2" ht="15.75" thickBot="1" x14ac:dyDescent="0.3">
      <c r="A1" s="3" t="s">
        <v>42</v>
      </c>
      <c r="B1" s="30">
        <f>'2023'!E20</f>
        <v>286084.2322222222</v>
      </c>
    </row>
    <row r="2" spans="1:2" ht="15.75" thickBot="1" x14ac:dyDescent="0.3">
      <c r="A2" s="2" t="s">
        <v>0</v>
      </c>
      <c r="B2" s="29">
        <f>'2021'!E5</f>
        <v>2219393.54</v>
      </c>
    </row>
    <row r="3" spans="1:2" ht="15.75" thickBot="1" x14ac:dyDescent="0.3">
      <c r="A3" s="2" t="s">
        <v>22</v>
      </c>
      <c r="B3" s="29">
        <f>'2022'!E5</f>
        <v>2335348.6800000002</v>
      </c>
    </row>
    <row r="4" spans="1:2" ht="15.75" thickBot="1" x14ac:dyDescent="0.3">
      <c r="A4" s="2" t="s">
        <v>39</v>
      </c>
      <c r="B4" s="29">
        <f>'2023'!D5</f>
        <v>2432024.66</v>
      </c>
    </row>
    <row r="5" spans="1:2" ht="15.75" thickBot="1" x14ac:dyDescent="0.3">
      <c r="A5" s="4" t="s">
        <v>41</v>
      </c>
      <c r="B5" s="37">
        <f>(B2+B3+B4)/3</f>
        <v>2328922.2933333335</v>
      </c>
    </row>
    <row r="6" spans="1:2" ht="48" thickBot="1" x14ac:dyDescent="0.3">
      <c r="A6" s="5" t="s">
        <v>40</v>
      </c>
      <c r="B6" s="11">
        <f>'2023'!N2</f>
        <v>32746.12</v>
      </c>
    </row>
    <row r="7" spans="1:2" ht="16.5" thickBot="1" x14ac:dyDescent="0.3">
      <c r="A7" s="6" t="s">
        <v>2</v>
      </c>
      <c r="B7" s="12">
        <f>B5-B6</f>
        <v>2296176.1733333333</v>
      </c>
    </row>
    <row r="8" spans="1:2" ht="16.5" thickBot="1" x14ac:dyDescent="0.3">
      <c r="A8" s="7" t="s">
        <v>3</v>
      </c>
      <c r="B8" s="16">
        <f>B1/B7</f>
        <v>0.12459158645780952</v>
      </c>
    </row>
    <row r="9" spans="1:2" ht="32.25" thickBot="1" x14ac:dyDescent="0.3">
      <c r="A9" s="8" t="s">
        <v>4</v>
      </c>
      <c r="B9" s="13">
        <f>28.6%</f>
        <v>0.28600000000000003</v>
      </c>
    </row>
    <row r="10" spans="1:2" ht="32.25" thickBot="1" x14ac:dyDescent="0.3">
      <c r="A10" s="14" t="s">
        <v>5</v>
      </c>
      <c r="B10" s="15" t="str">
        <f>IF(B8&lt;B9,"OK","NO")</f>
        <v>OK</v>
      </c>
    </row>
    <row r="11" spans="1:2" ht="16.5" thickBot="1" x14ac:dyDescent="0.3">
      <c r="A11" s="17" t="s">
        <v>6</v>
      </c>
      <c r="B11" s="18">
        <f>'2018'!E14</f>
        <v>312161.04317099997</v>
      </c>
    </row>
    <row r="12" spans="1:2" ht="32.25" thickBot="1" x14ac:dyDescent="0.3">
      <c r="A12" s="19" t="s">
        <v>23</v>
      </c>
      <c r="B12" s="20">
        <v>0.35</v>
      </c>
    </row>
    <row r="13" spans="1:2" ht="32.25" thickBot="1" x14ac:dyDescent="0.3">
      <c r="A13" s="21" t="s">
        <v>24</v>
      </c>
      <c r="B13" s="22">
        <f>B11+(B11*B12)</f>
        <v>421417.40828084992</v>
      </c>
    </row>
    <row r="14" spans="1:2" ht="32.25" thickBot="1" x14ac:dyDescent="0.3">
      <c r="A14" s="23" t="s">
        <v>25</v>
      </c>
      <c r="B14" s="24">
        <f>'2024'!F14</f>
        <v>327937.62404194998</v>
      </c>
    </row>
    <row r="15" spans="1:2" ht="16.5" thickBot="1" x14ac:dyDescent="0.3">
      <c r="A15" s="25" t="s">
        <v>26</v>
      </c>
      <c r="B15" s="26" t="str">
        <f>IF(B14&lt;B13,"OK","NO")</f>
        <v>OK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C768-2CFB-4F84-8BF3-069D9033D007}">
  <dimension ref="A1:E14"/>
  <sheetViews>
    <sheetView workbookViewId="0">
      <selection activeCell="A3" sqref="A3:A13"/>
    </sheetView>
  </sheetViews>
  <sheetFormatPr defaultRowHeight="15" x14ac:dyDescent="0.25"/>
  <cols>
    <col min="1" max="1" width="37.7109375" customWidth="1"/>
    <col min="2" max="2" width="25.85546875" customWidth="1"/>
    <col min="3" max="3" width="23.85546875" customWidth="1"/>
    <col min="4" max="4" width="12.5703125" customWidth="1"/>
    <col min="5" max="5" width="14.42578125" customWidth="1"/>
  </cols>
  <sheetData>
    <row r="1" spans="1:5" ht="15.75" thickBot="1" x14ac:dyDescent="0.3">
      <c r="A1" s="49" t="s">
        <v>38</v>
      </c>
      <c r="B1" s="50"/>
      <c r="C1" s="50"/>
      <c r="D1" s="50"/>
      <c r="E1" s="51"/>
    </row>
    <row r="2" spans="1:5" ht="60.75" thickBot="1" x14ac:dyDescent="0.3">
      <c r="A2" s="1" t="s">
        <v>7</v>
      </c>
      <c r="B2" s="1" t="s">
        <v>12</v>
      </c>
      <c r="C2" s="1" t="s">
        <v>9</v>
      </c>
      <c r="D2" s="27" t="s">
        <v>32</v>
      </c>
      <c r="E2" s="28" t="s">
        <v>8</v>
      </c>
    </row>
    <row r="3" spans="1:5" ht="15.75" thickBot="1" x14ac:dyDescent="0.3">
      <c r="A3" s="33" t="s">
        <v>46</v>
      </c>
      <c r="B3" s="33" t="s">
        <v>31</v>
      </c>
      <c r="C3" s="39">
        <v>43104.13</v>
      </c>
      <c r="D3" s="40">
        <f>14796.01-3638.64</f>
        <v>11157.37</v>
      </c>
      <c r="E3" s="38">
        <f t="shared" ref="E3:E13" si="0">SUM(C3:D3)</f>
        <v>54261.5</v>
      </c>
    </row>
    <row r="4" spans="1:5" ht="15.75" thickBot="1" x14ac:dyDescent="0.3">
      <c r="A4" s="33" t="s">
        <v>46</v>
      </c>
      <c r="B4" s="33" t="s">
        <v>13</v>
      </c>
      <c r="C4" s="38">
        <f>22453.11</f>
        <v>22453.11</v>
      </c>
      <c r="D4" s="38">
        <f>8084.32-1857.76</f>
        <v>6226.5599999999995</v>
      </c>
      <c r="E4" s="38">
        <f t="shared" si="0"/>
        <v>28679.67</v>
      </c>
    </row>
    <row r="5" spans="1:5" ht="15.75" thickBot="1" x14ac:dyDescent="0.3">
      <c r="A5" s="33" t="s">
        <v>46</v>
      </c>
      <c r="B5" s="33" t="s">
        <v>16</v>
      </c>
      <c r="C5" s="38">
        <v>31264.51</v>
      </c>
      <c r="D5" s="38">
        <f>10143.78-2457.73</f>
        <v>7686.0500000000011</v>
      </c>
      <c r="E5" s="38">
        <f t="shared" si="0"/>
        <v>38950.559999999998</v>
      </c>
    </row>
    <row r="6" spans="1:5" ht="15.75" thickBot="1" x14ac:dyDescent="0.3">
      <c r="A6" s="33" t="s">
        <v>46</v>
      </c>
      <c r="B6" s="33" t="s">
        <v>33</v>
      </c>
      <c r="C6" s="38">
        <v>58.9</v>
      </c>
      <c r="D6" s="39">
        <f>23.33-5.1</f>
        <v>18.229999999999997</v>
      </c>
      <c r="E6" s="38">
        <f t="shared" si="0"/>
        <v>77.13</v>
      </c>
    </row>
    <row r="7" spans="1:5" ht="15.75" thickBot="1" x14ac:dyDescent="0.3">
      <c r="A7" s="33" t="s">
        <v>46</v>
      </c>
      <c r="B7" s="33" t="s">
        <v>34</v>
      </c>
      <c r="C7" s="38">
        <v>26581.119999999999</v>
      </c>
      <c r="D7" s="38">
        <f>8657.56-2100.47</f>
        <v>6557.09</v>
      </c>
      <c r="E7" s="38">
        <f t="shared" si="0"/>
        <v>33138.21</v>
      </c>
    </row>
    <row r="8" spans="1:5" ht="15.75" thickBot="1" x14ac:dyDescent="0.3">
      <c r="A8" s="33" t="s">
        <v>46</v>
      </c>
      <c r="B8" s="33" t="s">
        <v>35</v>
      </c>
      <c r="C8" s="43">
        <v>14871.79</v>
      </c>
      <c r="D8" s="39">
        <f>4838.69-1119.42</f>
        <v>3719.2699999999995</v>
      </c>
      <c r="E8" s="38">
        <f t="shared" si="0"/>
        <v>18591.060000000001</v>
      </c>
    </row>
    <row r="9" spans="1:5" ht="15.75" thickBot="1" x14ac:dyDescent="0.3">
      <c r="A9" s="33" t="s">
        <v>46</v>
      </c>
      <c r="B9" s="33" t="s">
        <v>16</v>
      </c>
      <c r="C9" s="42">
        <v>23844.38</v>
      </c>
      <c r="D9" s="42">
        <f>7860.5-1903.04</f>
        <v>5957.46</v>
      </c>
      <c r="E9" s="38">
        <f t="shared" si="0"/>
        <v>29801.84</v>
      </c>
    </row>
    <row r="10" spans="1:5" ht="15.75" thickBot="1" x14ac:dyDescent="0.3">
      <c r="A10" s="33" t="s">
        <v>46</v>
      </c>
      <c r="B10" s="33" t="s">
        <v>16</v>
      </c>
      <c r="C10" s="42">
        <v>30869.3</v>
      </c>
      <c r="D10" s="38">
        <f>10807.25-2623.8</f>
        <v>8183.45</v>
      </c>
      <c r="E10" s="38">
        <f t="shared" si="0"/>
        <v>39052.75</v>
      </c>
    </row>
    <row r="11" spans="1:5" ht="15.75" thickBot="1" x14ac:dyDescent="0.3">
      <c r="A11" s="33" t="s">
        <v>46</v>
      </c>
      <c r="B11" s="33" t="s">
        <v>15</v>
      </c>
      <c r="C11" s="45">
        <f>33364.61*61.11%</f>
        <v>20389.113171000001</v>
      </c>
      <c r="D11" s="38">
        <f>(  12179.75- 2871.82)</f>
        <v>9307.93</v>
      </c>
      <c r="E11" s="38">
        <f t="shared" si="0"/>
        <v>29697.043171000001</v>
      </c>
    </row>
    <row r="12" spans="1:5" ht="15.75" thickBot="1" x14ac:dyDescent="0.3">
      <c r="A12" s="33" t="s">
        <v>46</v>
      </c>
      <c r="B12" s="33" t="s">
        <v>36</v>
      </c>
      <c r="C12" s="42">
        <v>21751.15</v>
      </c>
      <c r="D12" s="41">
        <f>7788.56-1790.34</f>
        <v>5998.22</v>
      </c>
      <c r="E12" s="38">
        <f t="shared" si="0"/>
        <v>27749.370000000003</v>
      </c>
    </row>
    <row r="13" spans="1:5" ht="15.75" thickBot="1" x14ac:dyDescent="0.3">
      <c r="A13" s="33" t="s">
        <v>46</v>
      </c>
      <c r="B13" s="33" t="s">
        <v>17</v>
      </c>
      <c r="C13" s="38">
        <v>12161.91</v>
      </c>
      <c r="D13" s="38">
        <v>0</v>
      </c>
      <c r="E13" s="38">
        <f t="shared" si="0"/>
        <v>12161.91</v>
      </c>
    </row>
    <row r="14" spans="1:5" ht="15.75" thickBot="1" x14ac:dyDescent="0.3">
      <c r="C14" s="35">
        <f>SUM(C3:C13)</f>
        <v>247349.41317099996</v>
      </c>
      <c r="D14" s="35">
        <f t="shared" ref="D14:E14" si="1">SUM(D3:D13)</f>
        <v>64811.63</v>
      </c>
      <c r="E14" s="36">
        <f t="shared" si="1"/>
        <v>312161.04317099997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019B-37AD-4CD3-BE80-ECCAA5B770DA}">
  <dimension ref="A1:E5"/>
  <sheetViews>
    <sheetView workbookViewId="0">
      <selection activeCell="E15" sqref="E15"/>
    </sheetView>
  </sheetViews>
  <sheetFormatPr defaultRowHeight="15" x14ac:dyDescent="0.25"/>
  <cols>
    <col min="1" max="1" width="11.140625" customWidth="1"/>
    <col min="5" max="5" width="14.5703125" customWidth="1"/>
  </cols>
  <sheetData>
    <row r="1" spans="1:5" ht="15.75" thickBot="1" x14ac:dyDescent="0.3">
      <c r="A1" s="52" t="s">
        <v>1</v>
      </c>
      <c r="B1" s="53"/>
      <c r="C1" s="53"/>
      <c r="D1" s="53"/>
      <c r="E1" s="54"/>
    </row>
    <row r="2" spans="1:5" ht="15.75" thickBot="1" x14ac:dyDescent="0.3">
      <c r="A2" s="55" t="s">
        <v>19</v>
      </c>
      <c r="B2" s="56"/>
      <c r="C2" s="56"/>
      <c r="D2" s="57"/>
      <c r="E2" s="9">
        <v>1425067.1</v>
      </c>
    </row>
    <row r="3" spans="1:5" ht="15.75" thickBot="1" x14ac:dyDescent="0.3">
      <c r="A3" s="55" t="s">
        <v>20</v>
      </c>
      <c r="B3" s="56"/>
      <c r="C3" s="56"/>
      <c r="D3" s="57"/>
      <c r="E3" s="9">
        <v>294399.21000000002</v>
      </c>
    </row>
    <row r="4" spans="1:5" ht="15.75" thickBot="1" x14ac:dyDescent="0.3">
      <c r="A4" s="55" t="s">
        <v>21</v>
      </c>
      <c r="B4" s="56"/>
      <c r="C4" s="56"/>
      <c r="D4" s="57"/>
      <c r="E4" s="9">
        <v>708343.55</v>
      </c>
    </row>
    <row r="5" spans="1:5" ht="15.75" thickBot="1" x14ac:dyDescent="0.3">
      <c r="E5" s="35">
        <f>SUM(E2:E4)</f>
        <v>2427809.8600000003</v>
      </c>
    </row>
  </sheetData>
  <mergeCells count="4">
    <mergeCell ref="A1:E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ED4-0B18-47F6-9530-4D4919B6B35E}">
  <dimension ref="A1:E5"/>
  <sheetViews>
    <sheetView workbookViewId="0">
      <selection activeCell="C7" sqref="C7"/>
    </sheetView>
  </sheetViews>
  <sheetFormatPr defaultRowHeight="15" x14ac:dyDescent="0.25"/>
  <cols>
    <col min="1" max="1" width="32.85546875" customWidth="1"/>
    <col min="2" max="2" width="24.7109375" customWidth="1"/>
    <col min="3" max="3" width="17.7109375" customWidth="1"/>
    <col min="5" max="5" width="14.5703125" customWidth="1"/>
    <col min="10" max="10" width="43.140625" customWidth="1"/>
    <col min="11" max="11" width="19" customWidth="1"/>
  </cols>
  <sheetData>
    <row r="1" spans="1:5" ht="15.75" thickBot="1" x14ac:dyDescent="0.3">
      <c r="A1" s="52" t="s">
        <v>0</v>
      </c>
      <c r="B1" s="53"/>
      <c r="C1" s="53"/>
      <c r="D1" s="53"/>
      <c r="E1" s="54"/>
    </row>
    <row r="2" spans="1:5" ht="15.75" thickBot="1" x14ac:dyDescent="0.3">
      <c r="A2" s="55" t="s">
        <v>19</v>
      </c>
      <c r="B2" s="56"/>
      <c r="C2" s="56"/>
      <c r="D2" s="57"/>
      <c r="E2" s="9">
        <v>1421554.32</v>
      </c>
    </row>
    <row r="3" spans="1:5" ht="15.75" thickBot="1" x14ac:dyDescent="0.3">
      <c r="A3" s="55" t="s">
        <v>20</v>
      </c>
      <c r="B3" s="56"/>
      <c r="C3" s="56"/>
      <c r="D3" s="57"/>
      <c r="E3" s="9">
        <v>265775.83</v>
      </c>
    </row>
    <row r="4" spans="1:5" ht="15.75" thickBot="1" x14ac:dyDescent="0.3">
      <c r="A4" s="55" t="s">
        <v>21</v>
      </c>
      <c r="B4" s="56"/>
      <c r="C4" s="56"/>
      <c r="D4" s="57"/>
      <c r="E4" s="9">
        <v>532063.39</v>
      </c>
    </row>
    <row r="5" spans="1:5" ht="15.75" thickBot="1" x14ac:dyDescent="0.3">
      <c r="E5" s="35">
        <f>SUM(E2:E4)</f>
        <v>2219393.54</v>
      </c>
    </row>
  </sheetData>
  <mergeCells count="4">
    <mergeCell ref="A1:E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7F49-C8AE-414B-8800-05DDFAF70A1C}">
  <dimension ref="A1:F23"/>
  <sheetViews>
    <sheetView workbookViewId="0">
      <selection activeCell="A10" sqref="A10:A22"/>
    </sheetView>
  </sheetViews>
  <sheetFormatPr defaultRowHeight="15" x14ac:dyDescent="0.25"/>
  <cols>
    <col min="1" max="1" width="32.85546875" customWidth="1"/>
    <col min="2" max="2" width="24.7109375" customWidth="1"/>
    <col min="3" max="3" width="17.7109375" customWidth="1"/>
    <col min="4" max="4" width="14.85546875" customWidth="1"/>
    <col min="5" max="5" width="14.5703125" customWidth="1"/>
  </cols>
  <sheetData>
    <row r="1" spans="1:6" ht="15.75" thickBot="1" x14ac:dyDescent="0.3">
      <c r="A1" s="52" t="s">
        <v>22</v>
      </c>
      <c r="B1" s="53"/>
      <c r="C1" s="53"/>
      <c r="D1" s="53"/>
      <c r="E1" s="54"/>
    </row>
    <row r="2" spans="1:6" ht="54.75" customHeight="1" thickBot="1" x14ac:dyDescent="0.3">
      <c r="A2" s="55" t="s">
        <v>19</v>
      </c>
      <c r="B2" s="56"/>
      <c r="C2" s="56"/>
      <c r="D2" s="57"/>
      <c r="E2" s="9">
        <v>1571355.27</v>
      </c>
    </row>
    <row r="3" spans="1:6" ht="15.75" thickBot="1" x14ac:dyDescent="0.3">
      <c r="A3" s="55" t="s">
        <v>20</v>
      </c>
      <c r="B3" s="56"/>
      <c r="C3" s="56"/>
      <c r="D3" s="57"/>
      <c r="E3" s="9">
        <v>83635.259999999995</v>
      </c>
    </row>
    <row r="4" spans="1:6" ht="15.75" thickBot="1" x14ac:dyDescent="0.3">
      <c r="A4" s="55" t="s">
        <v>21</v>
      </c>
      <c r="B4" s="56"/>
      <c r="C4" s="56"/>
      <c r="D4" s="57"/>
      <c r="E4" s="9">
        <v>680358.15</v>
      </c>
    </row>
    <row r="5" spans="1:6" ht="15.75" thickBot="1" x14ac:dyDescent="0.3">
      <c r="E5" s="35">
        <f>SUM(E2:E4)</f>
        <v>2335348.6800000002</v>
      </c>
    </row>
    <row r="7" spans="1:6" ht="15.75" thickBot="1" x14ac:dyDescent="0.3"/>
    <row r="8" spans="1:6" ht="15.75" thickBot="1" x14ac:dyDescent="0.3">
      <c r="A8" s="49" t="s">
        <v>37</v>
      </c>
      <c r="B8" s="50"/>
      <c r="C8" s="50"/>
      <c r="D8" s="50"/>
      <c r="E8" s="50"/>
      <c r="F8" s="51"/>
    </row>
    <row r="9" spans="1:6" ht="45.75" thickBot="1" x14ac:dyDescent="0.3">
      <c r="A9" s="1" t="s">
        <v>7</v>
      </c>
      <c r="B9" s="1" t="s">
        <v>12</v>
      </c>
      <c r="C9" s="1" t="s">
        <v>9</v>
      </c>
      <c r="D9" s="27" t="s">
        <v>32</v>
      </c>
      <c r="E9" s="28" t="s">
        <v>8</v>
      </c>
    </row>
    <row r="10" spans="1:6" ht="15.75" thickBot="1" x14ac:dyDescent="0.3">
      <c r="A10" s="33" t="s">
        <v>46</v>
      </c>
      <c r="B10" s="33" t="s">
        <v>31</v>
      </c>
      <c r="C10" s="9">
        <v>4652.26</v>
      </c>
      <c r="D10" s="46">
        <f>1530.68-395.52</f>
        <v>1135.1600000000001</v>
      </c>
      <c r="E10" s="29">
        <f>C10+D10</f>
        <v>5787.42</v>
      </c>
    </row>
    <row r="11" spans="1:6" ht="15.75" thickBot="1" x14ac:dyDescent="0.3">
      <c r="A11" s="33" t="s">
        <v>46</v>
      </c>
      <c r="B11" s="33" t="s">
        <v>14</v>
      </c>
      <c r="C11" s="9">
        <v>26239.39</v>
      </c>
      <c r="D11" s="9">
        <f>9700.76-2246.16</f>
        <v>7454.6</v>
      </c>
      <c r="E11" s="29">
        <f t="shared" ref="E11:E22" si="0">C11+D11</f>
        <v>33693.99</v>
      </c>
    </row>
    <row r="12" spans="1:6" ht="15.75" thickBot="1" x14ac:dyDescent="0.3">
      <c r="A12" s="33" t="s">
        <v>46</v>
      </c>
      <c r="B12" s="33" t="s">
        <v>18</v>
      </c>
      <c r="C12" s="10">
        <v>27925.02</v>
      </c>
      <c r="D12" s="10">
        <f>9400.47-2159.38</f>
        <v>7241.0899999999992</v>
      </c>
      <c r="E12" s="29">
        <f t="shared" si="0"/>
        <v>35166.11</v>
      </c>
    </row>
    <row r="13" spans="1:6" ht="15.75" thickBot="1" x14ac:dyDescent="0.3">
      <c r="A13" s="33" t="s">
        <v>46</v>
      </c>
      <c r="B13" s="33" t="s">
        <v>16</v>
      </c>
      <c r="C13" s="9">
        <v>35936.639999999999</v>
      </c>
      <c r="D13" s="10">
        <f>11480.94-2794.7</f>
        <v>8686.2400000000016</v>
      </c>
      <c r="E13" s="29">
        <f t="shared" si="0"/>
        <v>44622.880000000005</v>
      </c>
    </row>
    <row r="14" spans="1:6" ht="15.75" thickBot="1" x14ac:dyDescent="0.3">
      <c r="A14" s="33" t="s">
        <v>46</v>
      </c>
      <c r="B14" s="33" t="s">
        <v>34</v>
      </c>
      <c r="C14" s="9">
        <v>21819.34</v>
      </c>
      <c r="D14" s="10">
        <f>6814.68-1792.08</f>
        <v>5022.6000000000004</v>
      </c>
      <c r="E14" s="29">
        <f t="shared" si="0"/>
        <v>26841.940000000002</v>
      </c>
    </row>
    <row r="15" spans="1:6" ht="15.75" thickBot="1" x14ac:dyDescent="0.3">
      <c r="A15" s="33" t="s">
        <v>46</v>
      </c>
      <c r="B15" s="33" t="s">
        <v>33</v>
      </c>
      <c r="C15" s="9">
        <v>2162.12</v>
      </c>
      <c r="D15">
        <f>851.06- 187.19</f>
        <v>663.86999999999989</v>
      </c>
      <c r="E15" s="29">
        <f t="shared" si="0"/>
        <v>2825.99</v>
      </c>
    </row>
    <row r="16" spans="1:6" ht="15.75" thickBot="1" x14ac:dyDescent="0.3">
      <c r="A16" s="33" t="s">
        <v>46</v>
      </c>
      <c r="B16" s="33" t="s">
        <v>17</v>
      </c>
      <c r="C16" s="44">
        <v>12499.68</v>
      </c>
      <c r="D16" s="9">
        <f>4037.76-1062.84</f>
        <v>2974.92</v>
      </c>
      <c r="E16" s="29">
        <f t="shared" si="0"/>
        <v>15474.6</v>
      </c>
    </row>
    <row r="17" spans="1:5" ht="15.75" thickBot="1" x14ac:dyDescent="0.3">
      <c r="A17" s="33" t="s">
        <v>46</v>
      </c>
      <c r="B17" s="33" t="s">
        <v>35</v>
      </c>
      <c r="C17" s="9">
        <v>1517.48</v>
      </c>
      <c r="D17" s="10">
        <f xml:space="preserve"> 504.23-129.38</f>
        <v>374.85</v>
      </c>
      <c r="E17" s="29">
        <f t="shared" si="0"/>
        <v>1892.33</v>
      </c>
    </row>
    <row r="18" spans="1:5" ht="15.75" thickBot="1" x14ac:dyDescent="0.3">
      <c r="A18" s="33" t="s">
        <v>46</v>
      </c>
      <c r="B18" s="33" t="s">
        <v>16</v>
      </c>
      <c r="C18" s="9">
        <v>32088.82</v>
      </c>
      <c r="D18" s="9">
        <f>11160.97-2710.55</f>
        <v>8450.4199999999983</v>
      </c>
      <c r="E18" s="29">
        <f t="shared" si="0"/>
        <v>40539.24</v>
      </c>
    </row>
    <row r="19" spans="1:5" ht="15.75" thickBot="1" x14ac:dyDescent="0.3">
      <c r="A19" s="33" t="s">
        <v>46</v>
      </c>
      <c r="B19" s="33" t="s">
        <v>16</v>
      </c>
      <c r="C19" s="9">
        <v>33674.69</v>
      </c>
      <c r="D19" s="9">
        <f>11724.39-2845.42</f>
        <v>8878.9699999999993</v>
      </c>
      <c r="E19" s="29">
        <f t="shared" si="0"/>
        <v>42553.66</v>
      </c>
    </row>
    <row r="20" spans="1:5" ht="15.75" thickBot="1" x14ac:dyDescent="0.3">
      <c r="A20" s="33" t="s">
        <v>46</v>
      </c>
      <c r="B20" s="33" t="s">
        <v>15</v>
      </c>
      <c r="C20" s="10">
        <f>(40384.87*66.67%)</f>
        <v>26924.592829000005</v>
      </c>
      <c r="D20" s="10">
        <f>(14965.46-3385.45)*66.67%</f>
        <v>7720.3926670000001</v>
      </c>
      <c r="E20" s="29">
        <f t="shared" si="0"/>
        <v>34644.985496000008</v>
      </c>
    </row>
    <row r="21" spans="1:5" ht="15.75" thickBot="1" x14ac:dyDescent="0.3">
      <c r="A21" s="33" t="s">
        <v>46</v>
      </c>
      <c r="B21" s="33" t="s">
        <v>15</v>
      </c>
      <c r="C21" s="44">
        <v>14189.25</v>
      </c>
      <c r="D21" s="10">
        <f>5224.64-1186.28</f>
        <v>4038.3600000000006</v>
      </c>
      <c r="E21" s="29">
        <f t="shared" si="0"/>
        <v>18227.61</v>
      </c>
    </row>
    <row r="22" spans="1:5" ht="15.75" thickBot="1" x14ac:dyDescent="0.3">
      <c r="A22" s="33" t="s">
        <v>46</v>
      </c>
      <c r="B22" s="34" t="s">
        <v>36</v>
      </c>
      <c r="C22" s="9">
        <v>22044.48</v>
      </c>
      <c r="D22" s="9">
        <f>8128.63-1884</f>
        <v>6244.63</v>
      </c>
      <c r="E22" s="29">
        <f t="shared" si="0"/>
        <v>28289.11</v>
      </c>
    </row>
    <row r="23" spans="1:5" ht="15.75" thickBot="1" x14ac:dyDescent="0.3">
      <c r="C23" s="35">
        <f>SUM(C10:C22)</f>
        <v>261673.76282900001</v>
      </c>
      <c r="D23" s="35">
        <f>SUM(D10:D22)</f>
        <v>68886.102666999999</v>
      </c>
      <c r="E23" s="36">
        <f>SUM(E10:E22)</f>
        <v>330559.86549599993</v>
      </c>
    </row>
  </sheetData>
  <mergeCells count="5">
    <mergeCell ref="A8:F8"/>
    <mergeCell ref="A1:E1"/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F0F0-B6DA-4A05-890E-0BFE6EDF344E}">
  <sheetPr>
    <pageSetUpPr fitToPage="1"/>
  </sheetPr>
  <dimension ref="A1:N23"/>
  <sheetViews>
    <sheetView workbookViewId="0">
      <selection activeCell="A10" sqref="A10:A19"/>
    </sheetView>
  </sheetViews>
  <sheetFormatPr defaultRowHeight="15" x14ac:dyDescent="0.25"/>
  <cols>
    <col min="1" max="1" width="32.85546875" customWidth="1"/>
    <col min="2" max="2" width="24.7109375" customWidth="1"/>
    <col min="3" max="3" width="17.7109375" customWidth="1"/>
    <col min="4" max="4" width="14.5703125" customWidth="1"/>
    <col min="5" max="5" width="13.5703125" customWidth="1"/>
    <col min="6" max="6" width="13.140625" bestFit="1" customWidth="1"/>
    <col min="13" max="13" width="40.85546875" customWidth="1"/>
    <col min="14" max="14" width="34.85546875" customWidth="1"/>
  </cols>
  <sheetData>
    <row r="1" spans="1:14" ht="15.75" thickBot="1" x14ac:dyDescent="0.3">
      <c r="A1" s="52" t="s">
        <v>39</v>
      </c>
      <c r="B1" s="53"/>
      <c r="C1" s="53"/>
      <c r="D1" s="54"/>
    </row>
    <row r="2" spans="1:14" ht="48" thickBot="1" x14ac:dyDescent="0.3">
      <c r="A2" s="55" t="s">
        <v>19</v>
      </c>
      <c r="B2" s="56"/>
      <c r="C2" s="56"/>
      <c r="D2" s="9">
        <f>1603272.56</f>
        <v>1603272.56</v>
      </c>
      <c r="M2" s="5" t="s">
        <v>40</v>
      </c>
      <c r="N2" s="11">
        <v>32746.12</v>
      </c>
    </row>
    <row r="3" spans="1:14" ht="15.75" thickBot="1" x14ac:dyDescent="0.3">
      <c r="A3" s="55" t="s">
        <v>20</v>
      </c>
      <c r="B3" s="56"/>
      <c r="C3" s="56"/>
      <c r="D3" s="9">
        <f>142572.25</f>
        <v>142572.25</v>
      </c>
    </row>
    <row r="4" spans="1:14" ht="15.75" thickBot="1" x14ac:dyDescent="0.3">
      <c r="A4" s="55" t="s">
        <v>21</v>
      </c>
      <c r="B4" s="56"/>
      <c r="C4" s="56"/>
      <c r="D4" s="9">
        <v>686179.85</v>
      </c>
    </row>
    <row r="5" spans="1:14" ht="15.75" thickBot="1" x14ac:dyDescent="0.3">
      <c r="D5" s="35">
        <f>SUM(D2:D4)</f>
        <v>2432024.66</v>
      </c>
    </row>
    <row r="7" spans="1:14" ht="15.75" thickBot="1" x14ac:dyDescent="0.3"/>
    <row r="8" spans="1:14" ht="15.75" thickBot="1" x14ac:dyDescent="0.3">
      <c r="A8" s="49" t="s">
        <v>43</v>
      </c>
      <c r="B8" s="50"/>
      <c r="C8" s="50"/>
      <c r="D8" s="50"/>
      <c r="E8" s="51"/>
    </row>
    <row r="9" spans="1:14" ht="56.25" customHeight="1" thickBot="1" x14ac:dyDescent="0.3">
      <c r="A9" s="1" t="s">
        <v>7</v>
      </c>
      <c r="B9" s="1" t="s">
        <v>12</v>
      </c>
      <c r="C9" s="1" t="s">
        <v>9</v>
      </c>
      <c r="D9" s="27" t="s">
        <v>32</v>
      </c>
      <c r="E9" s="28" t="s">
        <v>8</v>
      </c>
    </row>
    <row r="10" spans="1:14" ht="15.75" thickBot="1" x14ac:dyDescent="0.3">
      <c r="A10" s="33" t="s">
        <v>46</v>
      </c>
      <c r="B10" s="33" t="s">
        <v>14</v>
      </c>
      <c r="C10" s="47">
        <v>23899.75</v>
      </c>
      <c r="D10" s="47">
        <f>8955.46-2057.45</f>
        <v>6898.0099999999993</v>
      </c>
      <c r="E10" s="10">
        <f t="shared" ref="E10:E19" si="0">SUM(C10:D10)</f>
        <v>30797.759999999998</v>
      </c>
    </row>
    <row r="11" spans="1:14" ht="15.75" thickBot="1" x14ac:dyDescent="0.3">
      <c r="A11" s="33" t="s">
        <v>46</v>
      </c>
      <c r="B11" s="33" t="s">
        <v>18</v>
      </c>
      <c r="C11" s="47">
        <v>27921.26</v>
      </c>
      <c r="D11" s="10">
        <f>9397.57-2159.09</f>
        <v>7238.48</v>
      </c>
      <c r="E11" s="10">
        <f t="shared" si="0"/>
        <v>35159.74</v>
      </c>
    </row>
    <row r="12" spans="1:14" ht="15.75" thickBot="1" x14ac:dyDescent="0.3">
      <c r="A12" s="33" t="s">
        <v>46</v>
      </c>
      <c r="B12" s="33" t="s">
        <v>16</v>
      </c>
      <c r="C12" s="47">
        <v>31660.46</v>
      </c>
      <c r="D12" s="10">
        <f xml:space="preserve"> 10517.37- 2548.71</f>
        <v>7968.6600000000008</v>
      </c>
      <c r="E12" s="10">
        <f t="shared" si="0"/>
        <v>39629.120000000003</v>
      </c>
    </row>
    <row r="13" spans="1:14" ht="15.75" thickBot="1" x14ac:dyDescent="0.3">
      <c r="A13" s="33" t="s">
        <v>46</v>
      </c>
      <c r="B13" s="33" t="s">
        <v>17</v>
      </c>
      <c r="C13" s="10">
        <f>1041.64*4</f>
        <v>4166.5600000000004</v>
      </c>
      <c r="D13" s="10">
        <f>(336.48*4)-(8.57*4)</f>
        <v>1311.64</v>
      </c>
      <c r="E13" s="10">
        <f t="shared" si="0"/>
        <v>5478.2000000000007</v>
      </c>
    </row>
    <row r="14" spans="1:14" ht="15.75" thickBot="1" x14ac:dyDescent="0.3">
      <c r="A14" s="33" t="s">
        <v>46</v>
      </c>
      <c r="B14" s="33" t="s">
        <v>17</v>
      </c>
      <c r="C14" s="10">
        <f>( 49996.98-C13)*(10/36)</f>
        <v>12730.672222222225</v>
      </c>
      <c r="D14" s="10">
        <f>(17406.26-4238.02-D13)*(10/36)</f>
        <v>3293.4999999999995</v>
      </c>
      <c r="E14" s="10">
        <f t="shared" si="0"/>
        <v>16024.172222222225</v>
      </c>
    </row>
    <row r="15" spans="1:14" ht="15.75" thickBot="1" x14ac:dyDescent="0.3">
      <c r="A15" s="33" t="s">
        <v>46</v>
      </c>
      <c r="B15" s="33" t="s">
        <v>16</v>
      </c>
      <c r="C15" s="10">
        <f>29944.94</f>
        <v>29944.94</v>
      </c>
      <c r="D15" s="10">
        <f>10511.54-2545.57</f>
        <v>7965.9700000000012</v>
      </c>
      <c r="E15" s="10">
        <f>SUM(C15:D15)</f>
        <v>37910.910000000003</v>
      </c>
    </row>
    <row r="16" spans="1:14" ht="15.75" thickBot="1" x14ac:dyDescent="0.3">
      <c r="A16" s="33" t="s">
        <v>46</v>
      </c>
      <c r="B16" s="33" t="s">
        <v>16</v>
      </c>
      <c r="C16" s="47">
        <v>31188.07</v>
      </c>
      <c r="D16" s="10">
        <f xml:space="preserve"> 10955.31- 2650.83</f>
        <v>8304.48</v>
      </c>
      <c r="E16" s="10">
        <f t="shared" si="0"/>
        <v>39492.550000000003</v>
      </c>
    </row>
    <row r="17" spans="1:6" ht="15.75" thickBot="1" x14ac:dyDescent="0.3">
      <c r="A17" s="33" t="s">
        <v>46</v>
      </c>
      <c r="B17" s="33" t="s">
        <v>15</v>
      </c>
      <c r="C17" s="10">
        <f>(33578.58*(24/36))</f>
        <v>22385.72</v>
      </c>
      <c r="D17" s="10">
        <f>( 12568.97-2850.92)*(24/36)</f>
        <v>6478.6999999999989</v>
      </c>
      <c r="E17" s="10">
        <f t="shared" si="0"/>
        <v>28864.42</v>
      </c>
    </row>
    <row r="18" spans="1:6" ht="15.75" thickBot="1" x14ac:dyDescent="0.3">
      <c r="A18" s="33" t="s">
        <v>46</v>
      </c>
      <c r="B18" s="33" t="s">
        <v>15</v>
      </c>
      <c r="C18" s="44">
        <v>32904.379999999997</v>
      </c>
      <c r="D18" s="47">
        <f>12568.97-2850.92</f>
        <v>9718.0499999999993</v>
      </c>
      <c r="E18" s="10">
        <f t="shared" si="0"/>
        <v>42622.429999999993</v>
      </c>
    </row>
    <row r="19" spans="1:6" ht="30.75" thickBot="1" x14ac:dyDescent="0.3">
      <c r="A19" s="33" t="s">
        <v>46</v>
      </c>
      <c r="B19" s="34" t="s">
        <v>30</v>
      </c>
      <c r="C19" s="10">
        <v>10104.93</v>
      </c>
      <c r="D19" s="10">
        <v>0</v>
      </c>
      <c r="E19" s="10">
        <f t="shared" si="0"/>
        <v>10104.93</v>
      </c>
    </row>
    <row r="20" spans="1:6" ht="15.75" thickBot="1" x14ac:dyDescent="0.3">
      <c r="C20" s="35">
        <f>SUM(C10:C19)</f>
        <v>226906.74222222224</v>
      </c>
      <c r="D20" s="35">
        <f>SUM(D10:D19)</f>
        <v>59177.489999999991</v>
      </c>
      <c r="E20" s="36">
        <f>SUM(E10:E19)</f>
        <v>286084.2322222222</v>
      </c>
    </row>
    <row r="23" spans="1:6" x14ac:dyDescent="0.25">
      <c r="F23" s="48">
        <f>E20+24361.91</f>
        <v>310446.14222222217</v>
      </c>
    </row>
  </sheetData>
  <mergeCells count="5">
    <mergeCell ref="A8:E8"/>
    <mergeCell ref="A1:D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C224-B02A-47DC-AF53-24804ED20BA3}">
  <dimension ref="A1:G14"/>
  <sheetViews>
    <sheetView workbookViewId="0">
      <selection activeCell="A4" sqref="A4"/>
    </sheetView>
  </sheetViews>
  <sheetFormatPr defaultRowHeight="15" x14ac:dyDescent="0.25"/>
  <cols>
    <col min="1" max="2" width="26.28515625" customWidth="1"/>
    <col min="3" max="3" width="37.7109375" customWidth="1"/>
    <col min="4" max="4" width="25.85546875" customWidth="1"/>
    <col min="5" max="5" width="13.140625" bestFit="1" customWidth="1"/>
    <col min="6" max="6" width="19.7109375" customWidth="1"/>
    <col min="7" max="7" width="16.7109375" customWidth="1"/>
  </cols>
  <sheetData>
    <row r="1" spans="1:7" ht="15.75" thickBot="1" x14ac:dyDescent="0.3">
      <c r="A1" s="49" t="s">
        <v>27</v>
      </c>
      <c r="B1" s="50"/>
      <c r="C1" s="50"/>
      <c r="D1" s="50"/>
      <c r="E1" s="50"/>
      <c r="F1" s="51"/>
    </row>
    <row r="2" spans="1:7" ht="60.75" thickBot="1" x14ac:dyDescent="0.3">
      <c r="A2" s="1" t="s">
        <v>7</v>
      </c>
      <c r="B2" s="1" t="s">
        <v>12</v>
      </c>
      <c r="C2" s="1" t="s">
        <v>9</v>
      </c>
      <c r="D2" s="27" t="s">
        <v>28</v>
      </c>
      <c r="E2" s="27" t="s">
        <v>29</v>
      </c>
      <c r="F2" s="28" t="s">
        <v>8</v>
      </c>
      <c r="G2" s="27" t="s">
        <v>45</v>
      </c>
    </row>
    <row r="3" spans="1:7" ht="15.75" thickBot="1" x14ac:dyDescent="0.3">
      <c r="A3" s="33" t="s">
        <v>46</v>
      </c>
      <c r="B3" s="33" t="s">
        <v>14</v>
      </c>
      <c r="C3" s="10">
        <f>(1860.12)*13</f>
        <v>24181.559999999998</v>
      </c>
      <c r="D3" s="10">
        <f>C3*23.8%</f>
        <v>5755.2112799999995</v>
      </c>
      <c r="E3" s="10">
        <f>C3*2.88%</f>
        <v>696.42892799999993</v>
      </c>
      <c r="F3" s="10">
        <f>SUM(C3:E3)</f>
        <v>30633.200207999998</v>
      </c>
      <c r="G3" s="10">
        <f>C3*8.5%</f>
        <v>2055.4326000000001</v>
      </c>
    </row>
    <row r="4" spans="1:7" ht="15.75" thickBot="1" x14ac:dyDescent="0.3">
      <c r="A4" s="33" t="s">
        <v>46</v>
      </c>
      <c r="B4" s="33" t="s">
        <v>18</v>
      </c>
      <c r="C4" s="10">
        <f>(1951.46)*13</f>
        <v>25368.98</v>
      </c>
      <c r="D4" s="10">
        <f>C4*23.8%</f>
        <v>6037.8172400000003</v>
      </c>
      <c r="E4" s="10">
        <f>C4*2.88%</f>
        <v>730.62662399999999</v>
      </c>
      <c r="F4" s="10">
        <f t="shared" ref="F4:F12" si="0">SUM(C4:D4)</f>
        <v>31406.79724</v>
      </c>
      <c r="G4" s="10">
        <f t="shared" ref="G4:G13" si="1">C4*8.5%</f>
        <v>2156.3633</v>
      </c>
    </row>
    <row r="5" spans="1:7" ht="15.75" thickBot="1" x14ac:dyDescent="0.3">
      <c r="A5" s="33" t="s">
        <v>46</v>
      </c>
      <c r="B5" s="33" t="s">
        <v>16</v>
      </c>
      <c r="C5" s="10">
        <f>(2350)*13</f>
        <v>30550</v>
      </c>
      <c r="D5" s="10">
        <f t="shared" ref="D5:D11" si="2">C5*23.8%</f>
        <v>7270.9000000000005</v>
      </c>
      <c r="E5" s="10">
        <f t="shared" ref="E5:E11" si="3">C5*2.88%</f>
        <v>879.84</v>
      </c>
      <c r="F5" s="10">
        <f t="shared" si="0"/>
        <v>37820.9</v>
      </c>
      <c r="G5" s="10">
        <f t="shared" si="1"/>
        <v>2596.75</v>
      </c>
    </row>
    <row r="6" spans="1:7" ht="15.75" thickBot="1" x14ac:dyDescent="0.3">
      <c r="A6" s="33" t="s">
        <v>46</v>
      </c>
      <c r="B6" s="33" t="s">
        <v>17</v>
      </c>
      <c r="C6" s="10">
        <f>((5336.17*27.79%)*13)</f>
        <v>19277.981358999998</v>
      </c>
      <c r="D6" s="10">
        <f t="shared" si="2"/>
        <v>4588.159563442</v>
      </c>
      <c r="E6" s="10">
        <f t="shared" si="3"/>
        <v>555.20586313919989</v>
      </c>
      <c r="F6" s="10">
        <f t="shared" si="0"/>
        <v>23866.140922441999</v>
      </c>
      <c r="G6" s="10">
        <f t="shared" si="1"/>
        <v>1638.6284155149999</v>
      </c>
    </row>
    <row r="7" spans="1:7" ht="15.75" thickBot="1" x14ac:dyDescent="0.3">
      <c r="A7" s="33" t="s">
        <v>46</v>
      </c>
      <c r="B7" s="33" t="s">
        <v>16</v>
      </c>
      <c r="C7" s="10">
        <f>(2349.78)*13</f>
        <v>30547.140000000003</v>
      </c>
      <c r="D7" s="10">
        <f t="shared" si="2"/>
        <v>7270.2193200000011</v>
      </c>
      <c r="E7" s="10">
        <f t="shared" si="3"/>
        <v>879.75763200000006</v>
      </c>
      <c r="F7" s="10">
        <f t="shared" si="0"/>
        <v>37817.359320000003</v>
      </c>
      <c r="G7" s="10">
        <f t="shared" si="1"/>
        <v>2596.5069000000003</v>
      </c>
    </row>
    <row r="8" spans="1:7" ht="15.75" thickBot="1" x14ac:dyDescent="0.3">
      <c r="A8" s="33" t="s">
        <v>46</v>
      </c>
      <c r="B8" s="33" t="s">
        <v>16</v>
      </c>
      <c r="C8" s="10">
        <f>(2459.11)*13</f>
        <v>31968.43</v>
      </c>
      <c r="D8" s="10">
        <f t="shared" si="2"/>
        <v>7608.4863400000004</v>
      </c>
      <c r="E8" s="10">
        <f t="shared" si="3"/>
        <v>920.69078400000001</v>
      </c>
      <c r="F8" s="10">
        <f t="shared" si="0"/>
        <v>39576.916340000003</v>
      </c>
      <c r="G8" s="10">
        <f t="shared" si="1"/>
        <v>2717.31655</v>
      </c>
    </row>
    <row r="9" spans="1:7" ht="15.75" thickBot="1" x14ac:dyDescent="0.3">
      <c r="A9" s="33" t="s">
        <v>46</v>
      </c>
      <c r="B9" s="33" t="s">
        <v>15</v>
      </c>
      <c r="C9" s="10">
        <f>(2593.46*66.67%)*13</f>
        <v>22477.777166000003</v>
      </c>
      <c r="D9" s="10">
        <f t="shared" si="2"/>
        <v>5349.7109655080012</v>
      </c>
      <c r="E9" s="10">
        <f t="shared" si="3"/>
        <v>647.35998238080003</v>
      </c>
      <c r="F9" s="10">
        <f t="shared" si="0"/>
        <v>27827.488131508006</v>
      </c>
      <c r="G9" s="10">
        <f t="shared" si="1"/>
        <v>1910.6110591100005</v>
      </c>
    </row>
    <row r="10" spans="1:7" ht="15.75" thickBot="1" x14ac:dyDescent="0.3">
      <c r="A10" s="33" t="s">
        <v>46</v>
      </c>
      <c r="B10" s="33" t="s">
        <v>15</v>
      </c>
      <c r="C10" s="10">
        <f>(2593.46)*13</f>
        <v>33714.980000000003</v>
      </c>
      <c r="D10" s="10">
        <f t="shared" si="2"/>
        <v>8024.1652400000012</v>
      </c>
      <c r="E10" s="10">
        <f t="shared" si="3"/>
        <v>970.99142400000005</v>
      </c>
      <c r="F10" s="10">
        <f t="shared" si="0"/>
        <v>41739.145240000005</v>
      </c>
      <c r="G10" s="10">
        <f t="shared" si="1"/>
        <v>2865.7733000000003</v>
      </c>
    </row>
    <row r="11" spans="1:7" ht="15.75" thickBot="1" x14ac:dyDescent="0.3">
      <c r="A11" s="33" t="s">
        <v>46</v>
      </c>
      <c r="B11" s="34" t="s">
        <v>13</v>
      </c>
      <c r="C11" s="10">
        <f>((1737.14)*13)</f>
        <v>22582.82</v>
      </c>
      <c r="D11" s="10">
        <f t="shared" si="2"/>
        <v>5374.7111600000007</v>
      </c>
      <c r="E11" s="10">
        <f t="shared" si="3"/>
        <v>650.38521600000001</v>
      </c>
      <c r="F11" s="10">
        <f t="shared" si="0"/>
        <v>27957.531159999999</v>
      </c>
      <c r="G11" s="10">
        <f t="shared" si="1"/>
        <v>1919.5397</v>
      </c>
    </row>
    <row r="12" spans="1:7" ht="30.75" thickBot="1" x14ac:dyDescent="0.3">
      <c r="A12" s="33" t="s">
        <v>46</v>
      </c>
      <c r="B12" s="34" t="s">
        <v>30</v>
      </c>
      <c r="C12" s="10">
        <f>(2223.49*7.5)+(2223.49*(7.5/12))</f>
        <v>18065.856250000001</v>
      </c>
      <c r="D12" s="10">
        <v>0</v>
      </c>
      <c r="E12" s="10">
        <v>0</v>
      </c>
      <c r="F12" s="10">
        <f t="shared" si="0"/>
        <v>18065.856250000001</v>
      </c>
      <c r="G12" s="10">
        <f t="shared" si="1"/>
        <v>1535.5977812500003</v>
      </c>
    </row>
    <row r="13" spans="1:7" ht="15.75" thickBot="1" x14ac:dyDescent="0.3">
      <c r="A13" s="33" t="s">
        <v>46</v>
      </c>
      <c r="B13" s="34" t="s">
        <v>14</v>
      </c>
      <c r="C13" s="10">
        <f>(1860.12*4.5)+(1860.12*(4.5/12))</f>
        <v>9068.0849999999991</v>
      </c>
      <c r="D13" s="10">
        <f>C13*23.8%</f>
        <v>2158.2042299999998</v>
      </c>
      <c r="E13" s="10">
        <f>C13*2.88%</f>
        <v>261.16084799999999</v>
      </c>
      <c r="F13" s="10">
        <f t="shared" ref="F13" si="4">SUM(C13:D13)</f>
        <v>11226.289229999998</v>
      </c>
      <c r="G13" s="10">
        <f t="shared" si="1"/>
        <v>770.78722500000003</v>
      </c>
    </row>
    <row r="14" spans="1:7" ht="15.75" thickBot="1" x14ac:dyDescent="0.3">
      <c r="C14" s="35">
        <f>SUM(C3:C13)</f>
        <v>267803.60977500002</v>
      </c>
      <c r="D14" s="35">
        <f t="shared" ref="D14:F14" si="5">SUM(D3:D13)</f>
        <v>59437.585338950004</v>
      </c>
      <c r="E14" s="35">
        <f t="shared" si="5"/>
        <v>7192.4473015200001</v>
      </c>
      <c r="F14" s="36">
        <f t="shared" si="5"/>
        <v>327937.62404194998</v>
      </c>
      <c r="G14" s="9">
        <f>SUM(G3:G13)</f>
        <v>22763.306830875001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B482-8483-4F73-AA59-5C5C2D6CBBF4}">
  <dimension ref="A1:B3"/>
  <sheetViews>
    <sheetView tabSelected="1" workbookViewId="0">
      <selection activeCell="J8" sqref="J8"/>
    </sheetView>
  </sheetViews>
  <sheetFormatPr defaultRowHeight="15" x14ac:dyDescent="0.25"/>
  <cols>
    <col min="1" max="1" width="30.42578125" customWidth="1"/>
    <col min="2" max="2" width="13" customWidth="1"/>
  </cols>
  <sheetData>
    <row r="1" spans="1:2" ht="16.5" thickBot="1" x14ac:dyDescent="0.3">
      <c r="A1" s="31" t="s">
        <v>10</v>
      </c>
      <c r="B1" s="9">
        <f>379443</f>
        <v>379443</v>
      </c>
    </row>
    <row r="2" spans="1:2" ht="32.25" thickBot="1" x14ac:dyDescent="0.3">
      <c r="A2" s="32" t="s">
        <v>44</v>
      </c>
      <c r="B2" s="10">
        <f>'2024'!F14+'2024'!G14</f>
        <v>350700.93087282497</v>
      </c>
    </row>
    <row r="3" spans="1:2" ht="48" thickBot="1" x14ac:dyDescent="0.3">
      <c r="A3" s="32" t="s">
        <v>11</v>
      </c>
      <c r="B3" s="37" t="str">
        <f>IF(B2&lt;B1,"OK","NO")</f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CHECK DM 17-3-2020</vt:lpstr>
      <vt:lpstr>2018</vt:lpstr>
      <vt:lpstr>2020</vt:lpstr>
      <vt:lpstr>2021</vt:lpstr>
      <vt:lpstr>2022</vt:lpstr>
      <vt:lpstr>2023</vt:lpstr>
      <vt:lpstr>2024</vt:lpstr>
      <vt:lpstr>CHECK 557 296-06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graziella belli</cp:lastModifiedBy>
  <cp:lastPrinted>2022-11-28T10:50:18Z</cp:lastPrinted>
  <dcterms:created xsi:type="dcterms:W3CDTF">2022-11-26T10:39:05Z</dcterms:created>
  <dcterms:modified xsi:type="dcterms:W3CDTF">2024-03-28T14:15:39Z</dcterms:modified>
</cp:coreProperties>
</file>